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calcPr calcId="124519"/>
</workbook>
</file>

<file path=xl/calcChain.xml><?xml version="1.0" encoding="utf-8"?>
<calcChain xmlns="http://schemas.openxmlformats.org/spreadsheetml/2006/main">
  <c r="E10" i="1"/>
  <c r="E22"/>
  <c r="E23"/>
  <c r="D23"/>
  <c r="E21"/>
  <c r="E15"/>
  <c r="E12"/>
  <c r="E13"/>
  <c r="E7"/>
  <c r="D7" l="1"/>
  <c r="D25"/>
  <c r="D15"/>
  <c r="D8"/>
  <c r="E19" l="1"/>
  <c r="E24"/>
  <c r="E4"/>
  <c r="D12" l="1"/>
  <c r="D5"/>
  <c r="D24"/>
  <c r="D9" l="1"/>
  <c r="D10" l="1"/>
  <c r="E9"/>
  <c r="E11"/>
  <c r="E25"/>
  <c r="E5"/>
  <c r="D6"/>
  <c r="E6" l="1"/>
  <c r="E16" s="1"/>
  <c r="E17" s="1"/>
  <c r="E18" s="1"/>
  <c r="D16"/>
  <c r="D17" l="1"/>
  <c r="D18"/>
  <c r="D21" s="1"/>
</calcChain>
</file>

<file path=xl/sharedStrings.xml><?xml version="1.0" encoding="utf-8"?>
<sst xmlns="http://schemas.openxmlformats.org/spreadsheetml/2006/main" count="72" uniqueCount="51">
  <si>
    <t>№ п/п</t>
  </si>
  <si>
    <t xml:space="preserve">Показатель </t>
  </si>
  <si>
    <t>Ед. изм.</t>
  </si>
  <si>
    <t>Примечание</t>
  </si>
  <si>
    <t xml:space="preserve">план </t>
  </si>
  <si>
    <t>факт</t>
  </si>
  <si>
    <t>Год</t>
  </si>
  <si>
    <t xml:space="preserve">   Форма раскрытия информации о структуре и объемах затрат на оказание услуг по передаче электрической энергии сетевыми организациями,  регулирование тарифов на услуги которых  осуществляется методом экономически обоснованных расходов</t>
  </si>
  <si>
    <t>1.</t>
  </si>
  <si>
    <t>Необходимая валовая выручка на содержание (котловая)</t>
  </si>
  <si>
    <t>тыс. руб.</t>
  </si>
  <si>
    <t>Необходимая валовая выручка на содержание (собственная)</t>
  </si>
  <si>
    <t>1.1.</t>
  </si>
  <si>
    <t>Себестоимость всего, в том числе</t>
  </si>
  <si>
    <t>1.1.1.</t>
  </si>
  <si>
    <t>Материальные расходы, всего</t>
  </si>
  <si>
    <t>1.1.1.1.</t>
  </si>
  <si>
    <t>в том числе на ремонт</t>
  </si>
  <si>
    <t>1.1.2.</t>
  </si>
  <si>
    <t>Фонд оплаты труда и отчисления на социальные нужды всего</t>
  </si>
  <si>
    <t>1.1.1.2.</t>
  </si>
  <si>
    <t>1.1.3.</t>
  </si>
  <si>
    <t>1.1.4.</t>
  </si>
  <si>
    <t>Прочие расходы</t>
  </si>
  <si>
    <t>1.1.4.1.</t>
  </si>
  <si>
    <t>Арендная плата</t>
  </si>
  <si>
    <t>1.1.4.2.</t>
  </si>
  <si>
    <t>налоги, пошлина и сборы</t>
  </si>
  <si>
    <t>1.1.4.3.</t>
  </si>
  <si>
    <t>другие прочие расходы</t>
  </si>
  <si>
    <t>1.2.1.</t>
  </si>
  <si>
    <t>1.2.</t>
  </si>
  <si>
    <t>Прибыль до налогообложения</t>
  </si>
  <si>
    <t>Налог на прибыль</t>
  </si>
  <si>
    <t>1.2.2.</t>
  </si>
  <si>
    <t>Чистая прибыль всего, в том числе:</t>
  </si>
  <si>
    <t>1.2.2.1.</t>
  </si>
  <si>
    <t>Прибыль на капитальные вложения (инвестиции)</t>
  </si>
  <si>
    <t>1.2.2.3.</t>
  </si>
  <si>
    <t>Дивиденты по акциям</t>
  </si>
  <si>
    <t>1.2.2.4.</t>
  </si>
  <si>
    <t>Прочие расходы из прибыли</t>
  </si>
  <si>
    <t>1.3.</t>
  </si>
  <si>
    <t>II</t>
  </si>
  <si>
    <t>III</t>
  </si>
  <si>
    <t>I</t>
  </si>
  <si>
    <t>Недополученный по независящим причинам доход (+)/избыток средств, полученных в предыдущем периоде регилирования(-)</t>
  </si>
  <si>
    <t>Необходимая валовая выручка на оплату технологического расхода электроэнергии (котловая)</t>
  </si>
  <si>
    <t>Необходимая валовая выручка на оплату технологического расхода электроэнергии (собственная)</t>
  </si>
  <si>
    <t>Справочно: расходы на ремонт всего(1.1.1.1+п.1.1.1.2.)</t>
  </si>
  <si>
    <t>Амортизационные начисления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</si>
</sst>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2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164" fontId="0" fillId="0" borderId="0" xfId="0" applyNumberFormat="1"/>
    <xf numFmtId="0" fontId="1" fillId="0" borderId="0" xfId="0" applyFont="1" applyAlignment="1">
      <alignment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0" fillId="2" borderId="2" xfId="0" applyFill="1" applyBorder="1" applyAlignment="1">
      <alignment vertical="center" wrapText="1"/>
    </xf>
    <xf numFmtId="164" fontId="0" fillId="2" borderId="1" xfId="0" applyNumberForma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horizontal="center" vertical="top" wrapText="1"/>
    </xf>
    <xf numFmtId="164" fontId="0" fillId="2" borderId="0" xfId="0" applyNumberFormat="1" applyFill="1"/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C/&#1089;&#1077;&#1073;&#1077;&#1089;&#1090;&#1086;&#1080;&#1084;&#1086;&#1089;&#1090;&#1100;%202%20&#1074;&#1072;&#1088;&#1080;&#1072;&#1085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C/&#1089;&#1077;&#1073;&#1077;&#1089;&#1090;&#1086;&#1080;&#1084;&#1086;&#1089;&#1090;&#1100;%203%20&#1074;&#1072;&#1088;&#1080;&#1072;&#1085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ебестоимость"/>
      <sheetName val="26 счет"/>
      <sheetName val="Лист3"/>
      <sheetName val="91,2 счет"/>
      <sheetName val="Лист1"/>
    </sheetNames>
    <sheetDataSet>
      <sheetData sheetId="0">
        <row r="3">
          <cell r="D3">
            <v>12768816.860000001</v>
          </cell>
        </row>
        <row r="32">
          <cell r="F32">
            <v>184593088.75999999</v>
          </cell>
        </row>
      </sheetData>
      <sheetData sheetId="1"/>
      <sheetData sheetId="2"/>
      <sheetData sheetId="3">
        <row r="16">
          <cell r="B16">
            <v>7629.84</v>
          </cell>
        </row>
      </sheetData>
      <sheetData sheetId="4">
        <row r="4">
          <cell r="C4">
            <v>646667.71</v>
          </cell>
          <cell r="I4">
            <v>241331.28</v>
          </cell>
        </row>
        <row r="9">
          <cell r="H9">
            <v>91884.173999999999</v>
          </cell>
        </row>
        <row r="21">
          <cell r="C21">
            <v>153521.63559322036</v>
          </cell>
          <cell r="D21">
            <v>15056.622033898304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ебестоимость"/>
      <sheetName val="26 счет"/>
      <sheetName val="Лист3"/>
      <sheetName val="91,2 счет"/>
      <sheetName val="Лист1"/>
    </sheetNames>
    <sheetDataSet>
      <sheetData sheetId="0">
        <row r="10">
          <cell r="H10">
            <v>480644491.83000004</v>
          </cell>
        </row>
        <row r="12">
          <cell r="F12">
            <v>79232604.359999999</v>
          </cell>
        </row>
        <row r="59">
          <cell r="F59">
            <v>127412414.63000001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workbookViewId="0">
      <selection activeCell="J9" sqref="J9"/>
    </sheetView>
  </sheetViews>
  <sheetFormatPr defaultRowHeight="15"/>
  <cols>
    <col min="1" max="1" width="8.7109375" customWidth="1"/>
    <col min="2" max="2" width="34.42578125" customWidth="1"/>
    <col min="3" max="3" width="8.7109375" customWidth="1"/>
    <col min="4" max="4" width="16" customWidth="1"/>
    <col min="5" max="5" width="13.140625" customWidth="1"/>
    <col min="6" max="6" width="12.85546875" customWidth="1"/>
    <col min="8" max="8" width="13.5703125" bestFit="1" customWidth="1"/>
    <col min="9" max="9" width="10" bestFit="1" customWidth="1"/>
  </cols>
  <sheetData>
    <row r="1" spans="1:10" ht="59.25" customHeight="1" thickBot="1">
      <c r="A1" s="23" t="s">
        <v>7</v>
      </c>
      <c r="B1" s="23"/>
      <c r="C1" s="23"/>
      <c r="D1" s="23"/>
      <c r="E1" s="23"/>
      <c r="F1" s="23"/>
    </row>
    <row r="2" spans="1:10" ht="17.25" customHeight="1">
      <c r="A2" s="28" t="s">
        <v>0</v>
      </c>
      <c r="B2" s="26" t="s">
        <v>1</v>
      </c>
      <c r="C2" s="26" t="s">
        <v>2</v>
      </c>
      <c r="D2" s="24" t="s">
        <v>6</v>
      </c>
      <c r="E2" s="25"/>
      <c r="F2" s="30" t="s">
        <v>3</v>
      </c>
    </row>
    <row r="3" spans="1:10" ht="15.75" thickBot="1">
      <c r="A3" s="29"/>
      <c r="B3" s="27"/>
      <c r="C3" s="27"/>
      <c r="D3" s="4" t="s">
        <v>4</v>
      </c>
      <c r="E3" s="4" t="s">
        <v>5</v>
      </c>
      <c r="F3" s="31"/>
    </row>
    <row r="4" spans="1:10" ht="30">
      <c r="A4" s="7" t="s">
        <v>8</v>
      </c>
      <c r="B4" s="3" t="s">
        <v>9</v>
      </c>
      <c r="C4" s="3" t="s">
        <v>10</v>
      </c>
      <c r="D4" s="11">
        <v>502780</v>
      </c>
      <c r="E4" s="11">
        <f>646667.71/1.18</f>
        <v>548023.48305084743</v>
      </c>
      <c r="F4" s="3"/>
    </row>
    <row r="5" spans="1:10" ht="30">
      <c r="A5" s="6" t="s">
        <v>8</v>
      </c>
      <c r="B5" s="3" t="s">
        <v>11</v>
      </c>
      <c r="C5" s="3" t="s">
        <v>10</v>
      </c>
      <c r="D5" s="12">
        <f>[1]Лист1!$H$9</f>
        <v>91884.173999999999</v>
      </c>
      <c r="E5" s="12">
        <f>[1]Лист1!$C$21</f>
        <v>153521.63559322036</v>
      </c>
      <c r="F5" s="1"/>
    </row>
    <row r="6" spans="1:10" ht="30">
      <c r="A6" s="6" t="s">
        <v>12</v>
      </c>
      <c r="B6" s="1" t="s">
        <v>13</v>
      </c>
      <c r="C6" s="3" t="s">
        <v>10</v>
      </c>
      <c r="D6" s="12">
        <f>D7+D9+D11+D12</f>
        <v>764726.69000000006</v>
      </c>
      <c r="E6" s="12">
        <f>E7+E9+E11+E12</f>
        <v>886672.76164000016</v>
      </c>
      <c r="F6" s="1"/>
      <c r="H6" s="14"/>
      <c r="I6" s="14"/>
    </row>
    <row r="7" spans="1:10" ht="24.75" customHeight="1">
      <c r="A7" s="16" t="s">
        <v>14</v>
      </c>
      <c r="B7" s="17" t="s">
        <v>15</v>
      </c>
      <c r="C7" s="18" t="s">
        <v>10</v>
      </c>
      <c r="D7" s="19">
        <f>47608.42+116804.53+2277.3+247.2</f>
        <v>166937.45000000001</v>
      </c>
      <c r="E7" s="19">
        <f>[2]Себестоимость!$F$59/1000+2361.73316</f>
        <v>129774.14779000002</v>
      </c>
      <c r="F7" s="20"/>
      <c r="H7" s="14"/>
    </row>
    <row r="8" spans="1:10" ht="18" customHeight="1">
      <c r="A8" s="6" t="s">
        <v>16</v>
      </c>
      <c r="B8" s="1" t="s">
        <v>17</v>
      </c>
      <c r="C8" s="3" t="s">
        <v>10</v>
      </c>
      <c r="D8" s="12">
        <f>23479.52+116804.53</f>
        <v>140284.04999999999</v>
      </c>
      <c r="E8" s="12">
        <v>118815.7</v>
      </c>
      <c r="F8" s="1"/>
    </row>
    <row r="9" spans="1:10" ht="33.75" customHeight="1">
      <c r="A9" s="16" t="s">
        <v>18</v>
      </c>
      <c r="B9" s="20" t="s">
        <v>19</v>
      </c>
      <c r="C9" s="18" t="s">
        <v>10</v>
      </c>
      <c r="D9" s="19">
        <f>170880.54+45112.46</f>
        <v>215993</v>
      </c>
      <c r="E9" s="19">
        <f>[1]Себестоимость!$F$32/1000</f>
        <v>184593.08875999998</v>
      </c>
      <c r="F9" s="20"/>
      <c r="H9" s="14"/>
      <c r="J9" s="22"/>
    </row>
    <row r="10" spans="1:10" ht="20.25" customHeight="1">
      <c r="A10" s="6" t="s">
        <v>20</v>
      </c>
      <c r="B10" s="1" t="s">
        <v>17</v>
      </c>
      <c r="C10" s="3" t="s">
        <v>10</v>
      </c>
      <c r="D10" s="12">
        <f>7214.45+1904.61</f>
        <v>9119.06</v>
      </c>
      <c r="E10" s="12">
        <f>184593.09*14.8/100</f>
        <v>27319.777320000005</v>
      </c>
      <c r="F10" s="1"/>
    </row>
    <row r="11" spans="1:10" ht="20.25" customHeight="1">
      <c r="A11" s="21" t="s">
        <v>21</v>
      </c>
      <c r="B11" s="20" t="s">
        <v>50</v>
      </c>
      <c r="C11" s="18" t="s">
        <v>10</v>
      </c>
      <c r="D11" s="19">
        <v>2266.86</v>
      </c>
      <c r="E11" s="19">
        <f>[1]Себестоимость!$D$3/1000</f>
        <v>12768.816860000001</v>
      </c>
      <c r="F11" s="20"/>
    </row>
    <row r="12" spans="1:10" ht="17.25" customHeight="1">
      <c r="A12" s="16" t="s">
        <v>22</v>
      </c>
      <c r="B12" s="20" t="s">
        <v>23</v>
      </c>
      <c r="C12" s="18" t="s">
        <v>10</v>
      </c>
      <c r="D12" s="19">
        <f>+D13+D14+D15</f>
        <v>379529.38000000006</v>
      </c>
      <c r="E12" s="19">
        <f>E13+E14+E15</f>
        <v>559536.70823000011</v>
      </c>
      <c r="F12" s="20"/>
    </row>
    <row r="13" spans="1:10" ht="21" customHeight="1">
      <c r="A13" s="6" t="s">
        <v>24</v>
      </c>
      <c r="B13" s="1" t="s">
        <v>25</v>
      </c>
      <c r="C13" s="3" t="s">
        <v>10</v>
      </c>
      <c r="D13" s="12">
        <v>44885.98</v>
      </c>
      <c r="E13" s="12">
        <f>[2]Себестоимость!$F$12/1000</f>
        <v>79232.604359999998</v>
      </c>
      <c r="F13" s="1"/>
      <c r="H13" s="14"/>
      <c r="I13" s="14"/>
    </row>
    <row r="14" spans="1:10" ht="19.5" customHeight="1">
      <c r="A14" s="6" t="s">
        <v>26</v>
      </c>
      <c r="B14" s="5" t="s">
        <v>27</v>
      </c>
      <c r="C14" s="3" t="s">
        <v>10</v>
      </c>
      <c r="D14" s="12">
        <v>33.72</v>
      </c>
      <c r="E14" s="12">
        <v>161.69999999999999</v>
      </c>
      <c r="F14" s="1"/>
      <c r="H14" s="14"/>
      <c r="I14" s="14"/>
    </row>
    <row r="15" spans="1:10" ht="20.25" customHeight="1">
      <c r="A15" s="6" t="s">
        <v>28</v>
      </c>
      <c r="B15" s="5" t="s">
        <v>29</v>
      </c>
      <c r="C15" s="3" t="s">
        <v>10</v>
      </c>
      <c r="D15" s="12">
        <f>313854.07+60580.15-44885.98-33.72+5095.16</f>
        <v>334609.68000000005</v>
      </c>
      <c r="E15" s="12">
        <f>[2]Себестоимость!$H$10/1000-502087.96/1000</f>
        <v>480142.4038700001</v>
      </c>
      <c r="F15" s="1"/>
      <c r="I15" s="14"/>
    </row>
    <row r="16" spans="1:10" ht="18.75" customHeight="1">
      <c r="A16" s="6" t="s">
        <v>31</v>
      </c>
      <c r="B16" s="5" t="s">
        <v>32</v>
      </c>
      <c r="C16" s="3" t="s">
        <v>10</v>
      </c>
      <c r="D16" s="19">
        <f>D4+D5+D24+D25-D6-D22</f>
        <v>116177.78399999999</v>
      </c>
      <c r="E16" s="19">
        <f>E4+E5+E24+E25-E6</f>
        <v>62319.089207457379</v>
      </c>
      <c r="F16" s="1"/>
      <c r="H16" s="14"/>
    </row>
    <row r="17" spans="1:9" ht="21" customHeight="1">
      <c r="A17" s="2" t="s">
        <v>30</v>
      </c>
      <c r="B17" s="5" t="s">
        <v>33</v>
      </c>
      <c r="C17" s="3" t="s">
        <v>10</v>
      </c>
      <c r="D17" s="12">
        <f>D16*20%</f>
        <v>23235.556799999998</v>
      </c>
      <c r="E17" s="12">
        <f>E16*20/100</f>
        <v>12463.817841491476</v>
      </c>
      <c r="F17" s="1"/>
      <c r="I17" s="14"/>
    </row>
    <row r="18" spans="1:9" ht="22.5" customHeight="1">
      <c r="A18" s="2" t="s">
        <v>34</v>
      </c>
      <c r="B18" s="5" t="s">
        <v>35</v>
      </c>
      <c r="C18" s="3" t="s">
        <v>10</v>
      </c>
      <c r="D18" s="12">
        <f>D16-D17</f>
        <v>92942.227199999994</v>
      </c>
      <c r="E18" s="12">
        <f>E16-E17</f>
        <v>49855.271365965906</v>
      </c>
      <c r="F18" s="1"/>
      <c r="H18" s="14"/>
    </row>
    <row r="19" spans="1:9" ht="29.25" customHeight="1">
      <c r="A19" s="2" t="s">
        <v>36</v>
      </c>
      <c r="B19" s="5" t="s">
        <v>37</v>
      </c>
      <c r="C19" s="3" t="s">
        <v>10</v>
      </c>
      <c r="D19" s="12">
        <v>56859.21</v>
      </c>
      <c r="E19" s="12">
        <f>19694.92</f>
        <v>19694.919999999998</v>
      </c>
      <c r="F19" s="1"/>
    </row>
    <row r="20" spans="1:9" ht="20.25" customHeight="1">
      <c r="A20" s="2" t="s">
        <v>38</v>
      </c>
      <c r="B20" s="5" t="s">
        <v>39</v>
      </c>
      <c r="C20" s="3" t="s">
        <v>10</v>
      </c>
      <c r="D20" s="12"/>
      <c r="E20" s="12"/>
      <c r="F20" s="1"/>
    </row>
    <row r="21" spans="1:9" ht="24" customHeight="1">
      <c r="A21" s="2" t="s">
        <v>40</v>
      </c>
      <c r="B21" s="5" t="s">
        <v>41</v>
      </c>
      <c r="C21" s="3" t="s">
        <v>10</v>
      </c>
      <c r="D21" s="12">
        <f>D18-D19</f>
        <v>36083.017199999995</v>
      </c>
      <c r="E21" s="12">
        <f>7596-1858</f>
        <v>5738</v>
      </c>
      <c r="F21" s="1"/>
    </row>
    <row r="22" spans="1:9" ht="66" customHeight="1">
      <c r="A22" s="10" t="s">
        <v>42</v>
      </c>
      <c r="B22" s="5" t="s">
        <v>46</v>
      </c>
      <c r="C22" s="3" t="s">
        <v>10</v>
      </c>
      <c r="D22" s="12">
        <v>27861</v>
      </c>
      <c r="E22" s="12">
        <f>0.33484*139071.04</f>
        <v>46566.547033600007</v>
      </c>
      <c r="F22" s="1"/>
      <c r="H22" s="14"/>
      <c r="I22" s="15"/>
    </row>
    <row r="23" spans="1:9" ht="30">
      <c r="A23" s="2" t="s">
        <v>43</v>
      </c>
      <c r="B23" s="5" t="s">
        <v>49</v>
      </c>
      <c r="C23" s="3" t="s">
        <v>10</v>
      </c>
      <c r="D23" s="12">
        <f>D8+D10</f>
        <v>149403.10999999999</v>
      </c>
      <c r="E23" s="12">
        <f>E8+E10</f>
        <v>146135.47732000001</v>
      </c>
      <c r="F23" s="1"/>
      <c r="H23" s="14"/>
    </row>
    <row r="24" spans="1:9" ht="45">
      <c r="A24" s="9" t="s">
        <v>44</v>
      </c>
      <c r="B24" s="3" t="s">
        <v>47</v>
      </c>
      <c r="C24" s="8"/>
      <c r="D24" s="13">
        <f>[1]Лист1!$I$4</f>
        <v>241331.28</v>
      </c>
      <c r="E24" s="13">
        <f>274220.33/1.18</f>
        <v>232390.11016949156</v>
      </c>
      <c r="F24" s="8"/>
    </row>
    <row r="25" spans="1:9" ht="45">
      <c r="A25" s="9" t="s">
        <v>45</v>
      </c>
      <c r="B25" s="3" t="s">
        <v>48</v>
      </c>
      <c r="C25" s="8"/>
      <c r="D25" s="13">
        <f>72770.02</f>
        <v>72770.02</v>
      </c>
      <c r="E25" s="13">
        <f>[1]Лист1!$D$21</f>
        <v>15056.622033898304</v>
      </c>
      <c r="F25" s="8"/>
    </row>
  </sheetData>
  <mergeCells count="6">
    <mergeCell ref="A1:F1"/>
    <mergeCell ref="D2:E2"/>
    <mergeCell ref="C2:C3"/>
    <mergeCell ref="B2:B3"/>
    <mergeCell ref="A2:A3"/>
    <mergeCell ref="F2:F3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2011-03-31T06:57:01Z</dcterms:modified>
</cp:coreProperties>
</file>